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<sst xmlns="http://schemas.openxmlformats.org/spreadsheetml/2006/main" count="59" uniqueCount="59">
  <si>
    <t xml:space="preserve">Name</t>
  </si>
  <si>
    <t xml:space="preserve">Number of Atoms</t>
  </si>
  <si>
    <t xml:space="preserve">Total Energy [eV]</t>
  </si>
  <si>
    <t xml:space="preserve">Energy per atom [eV]</t>
  </si>
  <si>
    <t xml:space="preserve">Energy difference diamond</t>
  </si>
  <si>
    <t xml:space="preserve">Radius CNT [Å]</t>
  </si>
  <si>
    <t xml:space="preserve">Df [Å]</t>
  </si>
  <si>
    <t xml:space="preserve">Di [Å]</t>
  </si>
  <si>
    <t xml:space="preserve">Spacegroup</t>
  </si>
  <si>
    <t xml:space="preserve">Template Spacegroup</t>
  </si>
  <si>
    <t xml:space="preserve">SBT</t>
  </si>
  <si>
    <t xml:space="preserve">FAU</t>
  </si>
  <si>
    <t xml:space="preserve">SBS</t>
  </si>
  <si>
    <t xml:space="preserve">221_2_6</t>
  </si>
  <si>
    <t xml:space="preserve">IRY</t>
  </si>
  <si>
    <t xml:space="preserve">RWY1</t>
  </si>
  <si>
    <t xml:space="preserve">RWY2</t>
  </si>
  <si>
    <t xml:space="preserve">EMT</t>
  </si>
  <si>
    <t xml:space="preserve">IRR</t>
  </si>
  <si>
    <t xml:space="preserve">SAO</t>
  </si>
  <si>
    <t xml:space="preserve">ISV</t>
  </si>
  <si>
    <t xml:space="preserve">LTA</t>
  </si>
  <si>
    <t xml:space="preserve">RHO</t>
  </si>
  <si>
    <t xml:space="preserve">AFY</t>
  </si>
  <si>
    <t xml:space="preserve">ITT</t>
  </si>
  <si>
    <t xml:space="preserve">BEB</t>
  </si>
  <si>
    <t xml:space="preserve">POS</t>
  </si>
  <si>
    <t xml:space="preserve">BEA</t>
  </si>
  <si>
    <t xml:space="preserve">IWS</t>
  </si>
  <si>
    <t xml:space="preserve">AFX</t>
  </si>
  <si>
    <t xml:space="preserve">BEC</t>
  </si>
  <si>
    <t xml:space="preserve">MEL</t>
  </si>
  <si>
    <t xml:space="preserve">DFO</t>
  </si>
  <si>
    <t xml:space="preserve">MSE</t>
  </si>
  <si>
    <t xml:space="preserve">IWR</t>
  </si>
  <si>
    <t xml:space="preserve">ITR</t>
  </si>
  <si>
    <t xml:space="preserve">OFF</t>
  </si>
  <si>
    <t xml:space="preserve">BSV</t>
  </si>
  <si>
    <t xml:space="preserve">ERI</t>
  </si>
  <si>
    <t xml:space="preserve">BOG</t>
  </si>
  <si>
    <t xml:space="preserve">SAV</t>
  </si>
  <si>
    <t xml:space="preserve">UWY</t>
  </si>
  <si>
    <t xml:space="preserve">AEI</t>
  </si>
  <si>
    <t xml:space="preserve">GME</t>
  </si>
  <si>
    <t xml:space="preserve">h8326896</t>
  </si>
  <si>
    <t xml:space="preserve">h8327291</t>
  </si>
  <si>
    <t xml:space="preserve">h8326829</t>
  </si>
  <si>
    <t xml:space="preserve">h8326849</t>
  </si>
  <si>
    <t xml:space="preserve">h8331018</t>
  </si>
  <si>
    <t xml:space="preserve">Other Structures</t>
  </si>
  <si>
    <t xml:space="preserve">diamond</t>
  </si>
  <si>
    <t xml:space="preserve">C60</t>
  </si>
  <si>
    <t xml:space="preserve">cnt33</t>
  </si>
  <si>
    <t xml:space="preserve">cnt44</t>
  </si>
  <si>
    <t xml:space="preserve">cnt55</t>
  </si>
  <si>
    <t xml:space="preserve">cnt66</t>
  </si>
  <si>
    <t xml:space="preserve">cnt77</t>
  </si>
  <si>
    <t xml:space="preserve">cnt88</t>
  </si>
  <si>
    <t xml:space="preserve">cnt71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</si>
</sst>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i val="true"/>
      <u val="single"/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  <xf numFmtId="164" fontId="16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  <cellStyle name="Result" xfId="37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4.9"/>
    <col collapsed="false" customWidth="true" hidden="false" outlineLevel="0" max="2" min="2" style="0" width="16.58"/>
    <col collapsed="false" customWidth="true" hidden="false" outlineLevel="0" max="4" min="3" style="0" width="19.91"/>
    <col collapsed="false" customWidth="true" hidden="false" outlineLevel="0" max="5" min="5" style="0" width="24.91"/>
    <col collapsed="false" customWidth="true" hidden="false" outlineLevel="0" max="6" min="6" style="0" width="20.33"/>
    <col collapsed="false" customWidth="false" hidden="false" outlineLevel="0" max="9" min="7" style="0" width="11.52"/>
    <col collapsed="false" customWidth="true" hidden="false" outlineLevel="0" max="10" min="10" style="0" width="20.33"/>
    <col collapsed="false" customWidth="false" hidden="false" outlineLevel="0" max="1025" min="11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2.8" hidden="false" customHeight="false" outlineLevel="0" collapsed="false">
      <c r="A2" s="0" t="s">
        <v>10</v>
      </c>
      <c r="B2" s="2" t="n">
        <v>180</v>
      </c>
      <c r="C2" s="0" t="str">
        <f aca="false">FIXED(-1633.50415441,2)</f>
        <v>-1,633.50</v>
      </c>
      <c r="D2" s="0" t="str">
        <f aca="false">FIXED(C2/B2,3)</f>
        <v>-9.075</v>
      </c>
      <c r="E2" s="0" t="str">
        <f aca="false">FIXED(D2-$D$42,3)</f>
        <v>0.215</v>
      </c>
      <c r="F2" s="0" t="str">
        <f aca="false">FIXED(2.716717,2)</f>
        <v>2.72</v>
      </c>
      <c r="G2" s="3" t="n">
        <f aca="false">5.05+0.6</f>
        <v>5.65</v>
      </c>
      <c r="H2" s="2" t="n">
        <f aca="false">10.51+0.6</f>
        <v>11.11</v>
      </c>
      <c r="I2" s="2" t="n">
        <v>166</v>
      </c>
      <c r="J2" s="2" t="n">
        <v>166</v>
      </c>
    </row>
    <row r="3" customFormat="false" ht="12.8" hidden="false" customHeight="false" outlineLevel="0" collapsed="false">
      <c r="A3" s="0" t="s">
        <v>11</v>
      </c>
      <c r="B3" s="2" t="n">
        <v>168</v>
      </c>
      <c r="C3" s="0" t="str">
        <f aca="false">FIXED(D3*B3,2)</f>
        <v>-1,524.26</v>
      </c>
      <c r="D3" s="0" t="str">
        <f aca="false">FIXED(-9.0734923,3)</f>
        <v>-9.073</v>
      </c>
      <c r="E3" s="0" t="str">
        <f aca="false">FIXED(D3-$D$42,3)</f>
        <v>0.217</v>
      </c>
      <c r="F3" s="0" t="str">
        <f aca="false">FIXED(2.74,2)</f>
        <v>2.74</v>
      </c>
      <c r="G3" s="2" t="n">
        <f aca="false">6.69+0.6</f>
        <v>7.29</v>
      </c>
      <c r="H3" s="2" t="n">
        <f aca="false">9.98+0.6</f>
        <v>10.58</v>
      </c>
      <c r="I3" s="2" t="n">
        <v>227</v>
      </c>
      <c r="J3" s="2" t="n">
        <v>227</v>
      </c>
    </row>
    <row r="4" customFormat="false" ht="12.8" hidden="false" customHeight="false" outlineLevel="0" collapsed="false">
      <c r="A4" s="0" t="s">
        <v>12</v>
      </c>
      <c r="B4" s="2" t="n">
        <v>396</v>
      </c>
      <c r="C4" s="4" t="str">
        <f aca="false">FIXED(-3582.696,2)</f>
        <v>-3,582.70</v>
      </c>
      <c r="D4" s="0" t="str">
        <f aca="false">FIXED(C4/B4,3)</f>
        <v>-9.047</v>
      </c>
      <c r="E4" s="0" t="str">
        <f aca="false">FIXED(D4-$D$42,3)</f>
        <v>0.243</v>
      </c>
      <c r="F4" s="0" t="str">
        <f aca="false">FIXED(2.6743,2)</f>
        <v>2.67</v>
      </c>
      <c r="G4" s="3" t="n">
        <f aca="false">5.05+0.6</f>
        <v>5.65</v>
      </c>
      <c r="H4" s="2" t="n">
        <f aca="false">10.79+0.6</f>
        <v>11.39</v>
      </c>
      <c r="I4" s="2" t="n">
        <v>163</v>
      </c>
      <c r="J4" s="2" t="n">
        <v>194</v>
      </c>
    </row>
    <row r="5" customFormat="false" ht="12.8" hidden="false" customHeight="false" outlineLevel="0" collapsed="false">
      <c r="A5" s="0" t="s">
        <v>13</v>
      </c>
      <c r="B5" s="2" t="n">
        <v>240</v>
      </c>
      <c r="C5" s="0" t="str">
        <f aca="false">FIXED(-2189.17978209,2)</f>
        <v>-2,189.18</v>
      </c>
      <c r="D5" s="0" t="str">
        <f aca="false">FIXED(C5/B5,3)</f>
        <v>-9.122</v>
      </c>
      <c r="E5" s="0" t="str">
        <f aca="false">FIXED(D5-$D$42,3)</f>
        <v>0.168</v>
      </c>
      <c r="F5" s="0" t="str">
        <f aca="false">FIXED(3,2)</f>
        <v>3.00</v>
      </c>
      <c r="G5" s="3" t="n">
        <f aca="false">6.03+0.6</f>
        <v>6.63</v>
      </c>
      <c r="H5" s="2" t="n">
        <f aca="false">13.54+0.6</f>
        <v>14.14</v>
      </c>
      <c r="I5" s="2" t="n">
        <v>221</v>
      </c>
      <c r="J5" s="2" t="n">
        <v>221</v>
      </c>
    </row>
    <row r="6" customFormat="false" ht="12.8" hidden="false" customHeight="false" outlineLevel="0" collapsed="false">
      <c r="A6" s="0" t="s">
        <v>14</v>
      </c>
      <c r="B6" s="2" t="n">
        <v>408</v>
      </c>
      <c r="C6" s="4" t="str">
        <f aca="false">FIXED(-3714.4914,2)</f>
        <v>-3,714.49</v>
      </c>
      <c r="D6" s="0" t="str">
        <f aca="false">FIXED(C6/B6,3)</f>
        <v>-9.104</v>
      </c>
      <c r="E6" s="0" t="str">
        <f aca="false">FIXED(D6-$D$42,3)</f>
        <v>0.186</v>
      </c>
      <c r="F6" s="0" t="str">
        <f aca="false">FIXED(4.055447,2)</f>
        <v>4.06</v>
      </c>
      <c r="G6" s="3" t="n">
        <f aca="false">8.01+0.6</f>
        <v>8.61</v>
      </c>
      <c r="H6" s="2" t="n">
        <f aca="false">10.67+0.6</f>
        <v>11.27</v>
      </c>
      <c r="I6" s="2" t="n">
        <v>194</v>
      </c>
      <c r="J6" s="2" t="n">
        <v>194</v>
      </c>
    </row>
    <row r="7" customFormat="false" ht="12.8" hidden="false" customHeight="false" outlineLevel="0" collapsed="false">
      <c r="A7" s="0" t="s">
        <v>15</v>
      </c>
      <c r="B7" s="2" t="n">
        <v>240</v>
      </c>
      <c r="C7" s="0" t="str">
        <f aca="false">FIXED(-2174.95626794,2)</f>
        <v>-2,174.96</v>
      </c>
      <c r="D7" s="0" t="str">
        <f aca="false">FIXED(C7/B7,3)</f>
        <v>-9.062</v>
      </c>
      <c r="E7" s="0" t="str">
        <f aca="false">FIXED(D7-$D$42,3)</f>
        <v>0.228</v>
      </c>
      <c r="F7" s="0" t="str">
        <f aca="false">FIXED(2.866805,2)</f>
        <v>2.87</v>
      </c>
      <c r="G7" s="3" t="n">
        <f aca="false">5.63+0.6</f>
        <v>6.23</v>
      </c>
      <c r="H7" s="2" t="n">
        <f aca="false">13.74+0.6</f>
        <v>14.34</v>
      </c>
      <c r="I7" s="2" t="n">
        <v>221</v>
      </c>
      <c r="J7" s="2" t="n">
        <v>229</v>
      </c>
    </row>
    <row r="8" customFormat="false" ht="12.8" hidden="false" customHeight="false" outlineLevel="0" collapsed="false">
      <c r="A8" s="0" t="s">
        <v>16</v>
      </c>
      <c r="B8" s="2" t="n">
        <v>180</v>
      </c>
      <c r="C8" s="0" t="str">
        <f aca="false">FIXED(-1622.6327877,2)</f>
        <v>-1,622.63</v>
      </c>
      <c r="D8" s="0" t="str">
        <f aca="false">FIXED(C8/B8,3)</f>
        <v>-9.015</v>
      </c>
      <c r="E8" s="0" t="str">
        <f aca="false">FIXED(D8-$D$42,3)</f>
        <v>0.275</v>
      </c>
      <c r="F8" s="0" t="str">
        <f aca="false">FIXED(2.866805,2)</f>
        <v>2.87</v>
      </c>
      <c r="G8" s="3" t="n">
        <f aca="false">5.63+0.6</f>
        <v>6.23</v>
      </c>
      <c r="H8" s="2" t="n">
        <f aca="false">13.74+0.6</f>
        <v>14.34</v>
      </c>
      <c r="I8" s="2" t="n">
        <v>204</v>
      </c>
      <c r="J8" s="2" t="n">
        <v>217</v>
      </c>
    </row>
    <row r="9" customFormat="false" ht="12.8" hidden="false" customHeight="false" outlineLevel="0" collapsed="false">
      <c r="A9" s="0" t="s">
        <v>17</v>
      </c>
      <c r="B9" s="2" t="n">
        <v>420</v>
      </c>
      <c r="C9" s="4" t="str">
        <f aca="false">FIXED(-3785.6307,2)</f>
        <v>-3,785.63</v>
      </c>
      <c r="D9" s="0" t="str">
        <f aca="false">FIXED(C9/B9,3)</f>
        <v>-9.013</v>
      </c>
      <c r="E9" s="0" t="str">
        <f aca="false">FIXED(D9-$D$42,3)</f>
        <v>0.277</v>
      </c>
      <c r="F9" s="0" t="str">
        <f aca="false">FIXED(3.4033351,2)</f>
        <v>3.40</v>
      </c>
      <c r="G9" s="3" t="n">
        <f aca="false">5.88+0.6</f>
        <v>6.48</v>
      </c>
      <c r="H9" s="2" t="n">
        <f aca="false">10.89+0.6</f>
        <v>11.49</v>
      </c>
      <c r="I9" s="2" t="n">
        <v>194</v>
      </c>
      <c r="J9" s="2" t="n">
        <v>194</v>
      </c>
    </row>
    <row r="10" customFormat="false" ht="12.8" hidden="false" customHeight="false" outlineLevel="0" collapsed="false">
      <c r="A10" s="0" t="s">
        <v>18</v>
      </c>
      <c r="B10" s="2" t="n">
        <v>252</v>
      </c>
      <c r="C10" s="0" t="str">
        <f aca="false">FIXED(D10*B10,2)</f>
        <v>-2,268.25</v>
      </c>
      <c r="D10" s="0" t="str">
        <f aca="false">FIXED(-9.000531824,3)</f>
        <v>-9.001</v>
      </c>
      <c r="E10" s="0" t="str">
        <f aca="false">FIXED(D10-$D$42,3)</f>
        <v>0.289</v>
      </c>
      <c r="F10" s="0" t="str">
        <f aca="false">FIXED(5.777822,2)</f>
        <v>5.78</v>
      </c>
      <c r="G10" s="3" t="n">
        <f aca="false">5.34+0.6</f>
        <v>5.94</v>
      </c>
      <c r="H10" s="2" t="n">
        <f aca="false">13.8+0.6</f>
        <v>14.4</v>
      </c>
      <c r="I10" s="2" t="n">
        <v>191</v>
      </c>
      <c r="J10" s="2" t="n">
        <v>191</v>
      </c>
    </row>
    <row r="11" customFormat="false" ht="12.8" hidden="false" customHeight="false" outlineLevel="0" collapsed="false">
      <c r="A11" s="0" t="s">
        <v>19</v>
      </c>
      <c r="B11" s="2" t="n">
        <v>120</v>
      </c>
      <c r="C11" s="0" t="str">
        <f aca="false">FIXED(-1077.61151107,2)</f>
        <v>-1,077.61</v>
      </c>
      <c r="D11" s="0" t="str">
        <f aca="false">FIXED(C11/B11,3)</f>
        <v>-8.980</v>
      </c>
      <c r="E11" s="0" t="str">
        <f aca="false">FIXED(D11-$D$42,3)</f>
        <v>0.310</v>
      </c>
      <c r="F11" s="0" t="str">
        <f aca="false">FIXED(2.844082,2)</f>
        <v>2.84</v>
      </c>
      <c r="G11" s="3" t="n">
        <f aca="false">6.13+0.6</f>
        <v>6.73</v>
      </c>
      <c r="H11" s="2" t="n">
        <f aca="false">7.98+0.6</f>
        <v>8.58</v>
      </c>
      <c r="I11" s="2" t="n">
        <v>119</v>
      </c>
      <c r="J11" s="2" t="n">
        <v>119</v>
      </c>
    </row>
    <row r="12" customFormat="false" ht="12.8" hidden="false" customHeight="false" outlineLevel="0" collapsed="false">
      <c r="A12" s="0" t="s">
        <v>20</v>
      </c>
      <c r="B12" s="2" t="n">
        <v>272</v>
      </c>
      <c r="C12" s="0" t="str">
        <f aca="false">FIXED(-2440.82059043,2)</f>
        <v>-2,440.82</v>
      </c>
      <c r="D12" s="0" t="str">
        <f aca="false">FIXED(C12/B12,3)</f>
        <v>-8.974</v>
      </c>
      <c r="E12" s="0" t="str">
        <f aca="false">FIXED(D12-$D$42,3)</f>
        <v>0.316</v>
      </c>
      <c r="F12" s="0" t="str">
        <f aca="false">FIXED(2.841362,2)</f>
        <v>2.84</v>
      </c>
      <c r="G12" s="3" t="n">
        <f aca="false">5.62+0.6</f>
        <v>6.22</v>
      </c>
      <c r="H12" s="2" t="n">
        <f aca="false">6.35+0.6</f>
        <v>6.95</v>
      </c>
      <c r="I12" s="2" t="n">
        <v>131</v>
      </c>
      <c r="J12" s="2" t="n">
        <v>131</v>
      </c>
    </row>
    <row r="13" customFormat="false" ht="12.8" hidden="false" customHeight="false" outlineLevel="0" collapsed="false">
      <c r="A13" s="0" t="s">
        <v>21</v>
      </c>
      <c r="B13" s="2" t="n">
        <v>96</v>
      </c>
      <c r="C13" s="0" t="str">
        <f aca="false">FIXED(-860.12968617,2)</f>
        <v>-860.13</v>
      </c>
      <c r="D13" s="0" t="str">
        <f aca="false">FIXED(C13/B13,3)</f>
        <v>-8.960</v>
      </c>
      <c r="E13" s="0" t="str">
        <f aca="false">FIXED(D13-$D$42,3)</f>
        <v>0.330</v>
      </c>
      <c r="F13" s="0" t="str">
        <f aca="false">FIXED(-1,2)</f>
        <v>-1.00</v>
      </c>
      <c r="G13" s="3" t="n">
        <f aca="false">3.54+0.6</f>
        <v>4.14</v>
      </c>
      <c r="H13" s="2" t="n">
        <f aca="false">10.39+0.6</f>
        <v>10.99</v>
      </c>
      <c r="I13" s="2" t="n">
        <v>215</v>
      </c>
      <c r="J13" s="2" t="n">
        <v>221</v>
      </c>
    </row>
    <row r="14" customFormat="false" ht="12.8" hidden="false" customHeight="false" outlineLevel="0" collapsed="false">
      <c r="A14" s="0" t="s">
        <v>22</v>
      </c>
      <c r="B14" s="2" t="n">
        <v>168</v>
      </c>
      <c r="C14" s="0" t="str">
        <f aca="false">FIXED(-1504.4031763,2)</f>
        <v>-1,504.40</v>
      </c>
      <c r="D14" s="0" t="str">
        <f aca="false">FIXED(C14/B14,3)</f>
        <v>-8.955</v>
      </c>
      <c r="E14" s="0" t="str">
        <f aca="false">FIXED(D14-$D$42,3)</f>
        <v>0.335</v>
      </c>
      <c r="F14" s="0" t="str">
        <f aca="false">FIXED(-1,2)</f>
        <v>-1.00</v>
      </c>
      <c r="G14" s="3" t="n">
        <f aca="false">3.4+0.6</f>
        <v>4</v>
      </c>
      <c r="H14" s="2" t="n">
        <f aca="false">9.77+0.6</f>
        <v>10.37</v>
      </c>
      <c r="I14" s="2" t="n">
        <v>221</v>
      </c>
      <c r="J14" s="2" t="n">
        <v>229</v>
      </c>
    </row>
    <row r="15" customFormat="false" ht="12.8" hidden="false" customHeight="false" outlineLevel="0" collapsed="false">
      <c r="A15" s="0" t="s">
        <v>23</v>
      </c>
      <c r="B15" s="2" t="n">
        <v>96</v>
      </c>
      <c r="C15" s="0" t="str">
        <f aca="false">FIXED(-859.07064011,2)</f>
        <v>-859.07</v>
      </c>
      <c r="D15" s="0" t="str">
        <f aca="false">FIXED(C15/B15,3)</f>
        <v>-8.949</v>
      </c>
      <c r="E15" s="0" t="str">
        <f aca="false">FIXED(D15-$D$42,3)</f>
        <v>0.341</v>
      </c>
      <c r="F15" s="0" t="str">
        <f aca="false">FIXED(2.671237,2)</f>
        <v>2.67</v>
      </c>
      <c r="G15" s="3" t="n">
        <f aca="false">3.42+0.6</f>
        <v>4.02</v>
      </c>
      <c r="H15" s="2" t="n">
        <f aca="false">7.16+0.6</f>
        <v>7.76</v>
      </c>
      <c r="I15" s="2" t="n">
        <v>162</v>
      </c>
      <c r="J15" s="2" t="n">
        <v>162</v>
      </c>
    </row>
    <row r="16" customFormat="false" ht="12.8" hidden="false" customHeight="false" outlineLevel="0" collapsed="false">
      <c r="A16" s="0" t="s">
        <v>24</v>
      </c>
      <c r="B16" s="2" t="n">
        <v>228</v>
      </c>
      <c r="C16" s="0" t="str">
        <f aca="false">FIXED(-2038.3413423,2)</f>
        <v>-2,038.34</v>
      </c>
      <c r="D16" s="0" t="str">
        <f aca="false">FIXED(C16/B16,3)</f>
        <v>-8.940</v>
      </c>
      <c r="E16" s="0" t="str">
        <f aca="false">FIXED(D16-$D$42,3)</f>
        <v>0.350</v>
      </c>
      <c r="F16" s="0" t="str">
        <f aca="false">FIXED(5.721284,2)</f>
        <v>5.72</v>
      </c>
      <c r="G16" s="3" t="n">
        <f aca="false">4.56+0.6</f>
        <v>5.16</v>
      </c>
      <c r="H16" s="2" t="n">
        <f aca="false">12.81+0.6</f>
        <v>13.41</v>
      </c>
      <c r="I16" s="2" t="n">
        <v>191</v>
      </c>
      <c r="J16" s="2" t="n">
        <v>191</v>
      </c>
    </row>
    <row r="17" customFormat="false" ht="12.8" hidden="false" customHeight="false" outlineLevel="0" collapsed="false">
      <c r="A17" s="0" t="s">
        <v>25</v>
      </c>
      <c r="B17" s="2" t="n">
        <v>128</v>
      </c>
      <c r="C17" s="0" t="str">
        <f aca="false">FIXED(-1143.03797652,2)</f>
        <v>-1,143.04</v>
      </c>
      <c r="D17" s="0" t="str">
        <f aca="false">FIXED(C17/B17,3)</f>
        <v>-8.930</v>
      </c>
      <c r="E17" s="0" t="str">
        <f aca="false">FIXED(D17-$D$42,3)</f>
        <v>0.360</v>
      </c>
      <c r="F17" s="0" t="str">
        <f aca="false">FIXED(2.5415,2)</f>
        <v>2.54</v>
      </c>
      <c r="G17" s="3" t="n">
        <f aca="false">5.13+0.6</f>
        <v>5.73</v>
      </c>
      <c r="H17" s="2" t="n">
        <f aca="false">5.76+0.6</f>
        <v>6.36</v>
      </c>
      <c r="I17" s="2" t="n">
        <v>15</v>
      </c>
      <c r="J17" s="2" t="n">
        <v>15</v>
      </c>
    </row>
    <row r="18" customFormat="false" ht="12.8" hidden="false" customHeight="false" outlineLevel="0" collapsed="false">
      <c r="A18" s="0" t="s">
        <v>26</v>
      </c>
      <c r="B18" s="2" t="n">
        <v>272</v>
      </c>
      <c r="C18" s="0" t="str">
        <f aca="false">FIXED(-2427.42477286,2)</f>
        <v>-2,427.42</v>
      </c>
      <c r="D18" s="0" t="str">
        <f aca="false">FIXED(C18/B18,3)</f>
        <v>-8.924</v>
      </c>
      <c r="E18" s="0" t="str">
        <f aca="false">FIXED(D18-$D$42,3)</f>
        <v>0.366</v>
      </c>
      <c r="F18" s="0" t="str">
        <f aca="false">FIXED(2.97521,2)</f>
        <v>2.98</v>
      </c>
      <c r="G18" s="3" t="n">
        <f aca="false">5.02+0.6</f>
        <v>5.62</v>
      </c>
      <c r="H18" s="2" t="n">
        <f aca="false">6.61+0.6</f>
        <v>7.21</v>
      </c>
      <c r="I18" s="2" t="n">
        <v>136</v>
      </c>
      <c r="J18" s="2" t="n">
        <v>136</v>
      </c>
    </row>
    <row r="19" customFormat="false" ht="12.8" hidden="false" customHeight="false" outlineLevel="0" collapsed="false">
      <c r="A19" s="0" t="s">
        <v>27</v>
      </c>
      <c r="B19" s="2" t="n">
        <v>256</v>
      </c>
      <c r="C19" s="0" t="str">
        <f aca="false">FIXED(-2281.50040942,2)</f>
        <v>-2,281.50</v>
      </c>
      <c r="D19" s="0" t="str">
        <f aca="false">FIXED(C19/B19,3)</f>
        <v>-8.912</v>
      </c>
      <c r="E19" s="0" t="str">
        <f aca="false">FIXED(D19-$D$42,3)</f>
        <v>0.378</v>
      </c>
      <c r="F19" s="0" t="str">
        <f aca="false">FIXED(2.693635,2)</f>
        <v>2.69</v>
      </c>
      <c r="G19" s="3" t="n">
        <f aca="false">5.29+0.6</f>
        <v>5.89</v>
      </c>
      <c r="H19" s="2" t="n">
        <f aca="false">6.02+0.6</f>
        <v>6.62</v>
      </c>
      <c r="I19" s="2" t="n">
        <v>91</v>
      </c>
      <c r="J19" s="2" t="n">
        <v>91</v>
      </c>
    </row>
    <row r="20" customFormat="false" ht="12.8" hidden="false" customHeight="false" outlineLevel="0" collapsed="false">
      <c r="A20" s="0" t="s">
        <v>28</v>
      </c>
      <c r="B20" s="2" t="n">
        <v>264</v>
      </c>
      <c r="C20" s="0" t="str">
        <f aca="false">FIXED(-2352.02232901,2)</f>
        <v>-2,352.02</v>
      </c>
      <c r="D20" s="0" t="str">
        <f aca="false">FIXED(C20/B20,3)</f>
        <v>-8.909</v>
      </c>
      <c r="E20" s="0" t="str">
        <f aca="false">FIXED(D20-$D$42,3)</f>
        <v>0.381</v>
      </c>
      <c r="F20" s="0" t="str">
        <f aca="false">FIXED(2.932771,2)</f>
        <v>2.93</v>
      </c>
      <c r="G20" s="3" t="n">
        <f aca="false">5.72+0.6</f>
        <v>6.32</v>
      </c>
      <c r="H20" s="2" t="n">
        <f aca="false">7.59+0.6</f>
        <v>8.19</v>
      </c>
      <c r="I20" s="2" t="n">
        <v>139</v>
      </c>
      <c r="J20" s="2" t="n">
        <v>139</v>
      </c>
    </row>
    <row r="21" customFormat="false" ht="12.8" hidden="false" customHeight="false" outlineLevel="0" collapsed="false">
      <c r="A21" s="0" t="s">
        <v>29</v>
      </c>
      <c r="B21" s="2" t="n">
        <v>180</v>
      </c>
      <c r="C21" s="0" t="str">
        <f aca="false">FIXED(-1600.93815092,2)</f>
        <v>-1,600.94</v>
      </c>
      <c r="D21" s="4" t="str">
        <f aca="false">FIXED(-1600.93815092/B21,3)</f>
        <v>-8.894</v>
      </c>
      <c r="E21" s="0" t="str">
        <f aca="false">FIXED(D21-$D$42,3)</f>
        <v>0.396</v>
      </c>
      <c r="F21" s="0" t="str">
        <f aca="false">FIXED(-1,2)</f>
        <v>-1.00</v>
      </c>
      <c r="G21" s="3" t="n">
        <f aca="false">3.07+0.6</f>
        <v>3.67</v>
      </c>
      <c r="H21" s="2" t="n">
        <f aca="false">7.1+0.6</f>
        <v>7.7</v>
      </c>
      <c r="I21" s="5" t="n">
        <v>194</v>
      </c>
      <c r="J21" s="2" t="n">
        <v>194</v>
      </c>
    </row>
    <row r="22" customFormat="false" ht="12.8" hidden="false" customHeight="false" outlineLevel="0" collapsed="false">
      <c r="A22" s="0" t="s">
        <v>30</v>
      </c>
      <c r="B22" s="2" t="n">
        <v>120</v>
      </c>
      <c r="C22" s="0" t="str">
        <f aca="false">FIXED(-1067.191853,2)</f>
        <v>-1,067.19</v>
      </c>
      <c r="D22" s="0" t="str">
        <f aca="false">FIXED(C22/B22,3)</f>
        <v>-8.893</v>
      </c>
      <c r="E22" s="0" t="str">
        <f aca="false">FIXED(D22-$D$42,3)</f>
        <v>0.397</v>
      </c>
      <c r="F22" s="0" t="str">
        <f aca="false">FIXED(2.980748,2)</f>
        <v>2.98</v>
      </c>
      <c r="G22" s="3" t="n">
        <f aca="false">5.43+0.6</f>
        <v>6.03</v>
      </c>
      <c r="H22" s="2" t="n">
        <f aca="false">6.29+0.6</f>
        <v>6.89</v>
      </c>
      <c r="I22" s="2" t="n">
        <v>131</v>
      </c>
      <c r="J22" s="2" t="n">
        <v>131</v>
      </c>
    </row>
    <row r="23" customFormat="false" ht="12.8" hidden="false" customHeight="false" outlineLevel="0" collapsed="false">
      <c r="A23" s="0" t="s">
        <v>31</v>
      </c>
      <c r="B23" s="2" t="n">
        <v>176</v>
      </c>
      <c r="C23" s="0" t="str">
        <f aca="false">FIXED(-1564.13104135,2)</f>
        <v>-1,564.13</v>
      </c>
      <c r="D23" s="0" t="str">
        <f aca="false">FIXED(C23/B23,3)</f>
        <v>-8.887</v>
      </c>
      <c r="E23" s="0" t="str">
        <f aca="false">FIXED(D23-$D$42,3)</f>
        <v>0.403</v>
      </c>
      <c r="F23" s="0" t="str">
        <f aca="false">FIXED(2.234555,2)</f>
        <v>2.23</v>
      </c>
      <c r="G23" s="3" t="n">
        <f aca="false">4.53+0.6</f>
        <v>5.13</v>
      </c>
      <c r="H23" s="2" t="n">
        <f aca="false">7.06+0.6</f>
        <v>7.66</v>
      </c>
      <c r="I23" s="2" t="n">
        <v>119</v>
      </c>
      <c r="J23" s="2" t="n">
        <v>119</v>
      </c>
    </row>
    <row r="24" customFormat="false" ht="12.8" hidden="false" customHeight="false" outlineLevel="0" collapsed="false">
      <c r="A24" s="0" t="s">
        <v>32</v>
      </c>
      <c r="B24" s="2" t="n">
        <v>552</v>
      </c>
      <c r="C24" s="4" t="str">
        <f aca="false">FIXED(-4904.7375,2)</f>
        <v>-4,904.74</v>
      </c>
      <c r="D24" s="0" t="str">
        <f aca="false">FIXED(C24/B24,3)</f>
        <v>-8.885</v>
      </c>
      <c r="E24" s="0" t="str">
        <f aca="false">FIXED(D24-$D$42,3)</f>
        <v>0.405</v>
      </c>
      <c r="F24" s="0" t="str">
        <f aca="false">FIXED(3.312538,2)</f>
        <v>3.31</v>
      </c>
      <c r="G24" s="3" t="n">
        <f aca="false">4.42+0.6</f>
        <v>5.02</v>
      </c>
      <c r="H24" s="2" t="n">
        <f aca="false">10.63+0.6</f>
        <v>11.23</v>
      </c>
      <c r="I24" s="2" t="n">
        <v>6</v>
      </c>
      <c r="J24" s="2" t="n">
        <v>191</v>
      </c>
    </row>
    <row r="25" customFormat="false" ht="12.8" hidden="false" customHeight="false" outlineLevel="0" collapsed="false">
      <c r="A25" s="0" t="s">
        <v>33</v>
      </c>
      <c r="B25" s="2" t="n">
        <v>408</v>
      </c>
      <c r="C25" s="4" t="str">
        <f aca="false">FIXED(-3614.2507,2)</f>
        <v>-3,614.25</v>
      </c>
      <c r="D25" s="0" t="str">
        <f aca="false">FIXED(C25/B25,3)</f>
        <v>-8.858</v>
      </c>
      <c r="E25" s="0" t="str">
        <f aca="false">FIXED(D25-$D$42,3)</f>
        <v>0.432</v>
      </c>
      <c r="F25" s="0" t="str">
        <f aca="false">FIXED(2.966373,2)</f>
        <v>2.97</v>
      </c>
      <c r="G25" s="3" t="n">
        <f aca="false">4.34+0.6</f>
        <v>4.94</v>
      </c>
      <c r="H25" s="2" t="n">
        <f aca="false">6.43+0.6</f>
        <v>7.03</v>
      </c>
      <c r="I25" s="2" t="n">
        <v>136</v>
      </c>
      <c r="J25" s="2" t="n">
        <v>136</v>
      </c>
    </row>
    <row r="26" customFormat="false" ht="12.8" hidden="false" customHeight="false" outlineLevel="0" collapsed="false">
      <c r="A26" s="0" t="s">
        <v>34</v>
      </c>
      <c r="B26" s="2" t="n">
        <v>104</v>
      </c>
      <c r="C26" s="0" t="str">
        <f aca="false">FIXED(-918.81490806,2)</f>
        <v>-918.81</v>
      </c>
      <c r="D26" s="0" t="str">
        <f aca="false">FIXED(C26/B26,3)</f>
        <v>-8.835</v>
      </c>
      <c r="E26" s="0" t="str">
        <f aca="false">FIXED(D26-$D$42,3)</f>
        <v>0.455</v>
      </c>
      <c r="F26" s="0" t="str">
        <f aca="false">FIXED(2.663964,2)</f>
        <v>2.66</v>
      </c>
      <c r="G26" s="3" t="n">
        <f aca="false">4.2+0.6</f>
        <v>4.8</v>
      </c>
      <c r="H26" s="2" t="n">
        <f aca="false">6.82+0.6</f>
        <v>7.42</v>
      </c>
      <c r="I26" s="2" t="n">
        <v>65</v>
      </c>
      <c r="J26" s="2" t="n">
        <v>65</v>
      </c>
    </row>
    <row r="27" customFormat="false" ht="12.8" hidden="false" customHeight="false" outlineLevel="0" collapsed="false">
      <c r="A27" s="0" t="s">
        <v>35</v>
      </c>
      <c r="B27" s="2" t="n">
        <v>168</v>
      </c>
      <c r="C27" s="0" t="str">
        <f aca="false">FIXED(-1480.35453233,2)</f>
        <v>-1,480.35</v>
      </c>
      <c r="D27" s="0" t="str">
        <f aca="false">FIXED(C27/B27,3)</f>
        <v>-8.812</v>
      </c>
      <c r="E27" s="0" t="str">
        <f aca="false">FIXED(D27-$D$42,3)</f>
        <v>0.478</v>
      </c>
      <c r="F27" s="6" t="str">
        <f aca="false">FIXED(2.211622,2)</f>
        <v>2.21</v>
      </c>
      <c r="G27" s="3" t="n">
        <f aca="false">2.92+0.6</f>
        <v>3.52</v>
      </c>
      <c r="H27" s="2" t="n">
        <f aca="false">5.7+0.6</f>
        <v>6.3</v>
      </c>
      <c r="I27" s="2" t="n">
        <v>63</v>
      </c>
      <c r="J27" s="2" t="n">
        <v>63</v>
      </c>
    </row>
    <row r="28" customFormat="false" ht="12.8" hidden="false" customHeight="false" outlineLevel="0" collapsed="false">
      <c r="A28" s="0" t="s">
        <v>36</v>
      </c>
      <c r="B28" s="2" t="n">
        <v>72</v>
      </c>
      <c r="C28" s="0" t="str">
        <f aca="false">FIXED(-633.79541288,2)</f>
        <v>-633.80</v>
      </c>
      <c r="D28" s="0" t="str">
        <f aca="false">FIXED(C28/B28,3)</f>
        <v>-8.803</v>
      </c>
      <c r="E28" s="0" t="str">
        <f aca="false">FIXED(D28-$D$42,3)</f>
        <v>0.487</v>
      </c>
      <c r="F28" s="0" t="str">
        <f aca="false">FIXED(2.968646,2)</f>
        <v>2.97</v>
      </c>
      <c r="G28" s="3" t="n">
        <f aca="false">2.77+0.6</f>
        <v>3.37</v>
      </c>
      <c r="H28" s="2" t="n">
        <f aca="false">6.34+0.6</f>
        <v>6.94</v>
      </c>
      <c r="I28" s="2" t="n">
        <v>187</v>
      </c>
      <c r="J28" s="2" t="n">
        <v>187</v>
      </c>
    </row>
    <row r="29" customFormat="false" ht="12.8" hidden="false" customHeight="false" outlineLevel="0" collapsed="false">
      <c r="A29" s="0" t="s">
        <v>37</v>
      </c>
      <c r="B29" s="2" t="n">
        <v>240</v>
      </c>
      <c r="C29" s="0" t="str">
        <f aca="false">FIXED(-2112.22448583,2)</f>
        <v>-2,112.22</v>
      </c>
      <c r="D29" s="0" t="str">
        <f aca="false">FIXED(C29/B29,3)</f>
        <v>-8.801</v>
      </c>
      <c r="E29" s="0" t="str">
        <f aca="false">FIXED(D29-$D$42,3)</f>
        <v>0.489</v>
      </c>
      <c r="F29" s="0" t="str">
        <f aca="false">FIXED(-1,2)</f>
        <v>-1.00</v>
      </c>
      <c r="G29" s="3" t="n">
        <f aca="false">3.179+0.6</f>
        <v>3.779</v>
      </c>
      <c r="H29" s="2" t="n">
        <f aca="false">4.51+0.6</f>
        <v>5.11</v>
      </c>
      <c r="I29" s="2" t="n">
        <v>230</v>
      </c>
      <c r="J29" s="2" t="n">
        <v>230</v>
      </c>
    </row>
    <row r="30" customFormat="false" ht="12.8" hidden="false" customHeight="false" outlineLevel="0" collapsed="false">
      <c r="A30" s="0" t="s">
        <v>38</v>
      </c>
      <c r="B30" s="2" t="n">
        <v>144</v>
      </c>
      <c r="C30" s="6" t="str">
        <f aca="false">FIXED(-1266.00499095,2)</f>
        <v>-1,266.00</v>
      </c>
      <c r="D30" s="0" t="str">
        <f aca="false">FIXED(C30/B30,3)</f>
        <v>-8.792</v>
      </c>
      <c r="E30" s="0" t="str">
        <f aca="false">FIXED(D30-$D$42,3)</f>
        <v>0.498</v>
      </c>
      <c r="F30" s="0" t="str">
        <f aca="false">FIXED(-1,2)</f>
        <v>-1.00</v>
      </c>
      <c r="G30" s="3" t="n">
        <f aca="false">2.76+0.6</f>
        <v>3.36</v>
      </c>
      <c r="H30" s="2" t="n">
        <f aca="false">6.35+0.6</f>
        <v>6.95</v>
      </c>
      <c r="I30" s="2" t="n">
        <v>176</v>
      </c>
      <c r="J30" s="2" t="n">
        <v>194</v>
      </c>
    </row>
    <row r="31" customFormat="false" ht="12.8" hidden="false" customHeight="false" outlineLevel="0" collapsed="false">
      <c r="A31" s="0" t="s">
        <v>39</v>
      </c>
      <c r="B31" s="2" t="n">
        <v>148</v>
      </c>
      <c r="C31" s="0" t="str">
        <f aca="false">FIXED(-1299.21794603,2)</f>
        <v>-1,299.22</v>
      </c>
      <c r="D31" s="0" t="str">
        <f aca="false">FIXED(C31/B31,3)</f>
        <v>-8.779</v>
      </c>
      <c r="E31" s="0" t="str">
        <f aca="false">FIXED(D31-$D$42,3)</f>
        <v>0.511</v>
      </c>
      <c r="F31" s="0" t="str">
        <f aca="false">FIXED(3.054994,2)</f>
        <v>3.05</v>
      </c>
      <c r="G31" s="3" t="n">
        <f aca="false">4.26+0.6</f>
        <v>4.86</v>
      </c>
      <c r="H31" s="2" t="n">
        <f aca="false">7.39+0.6</f>
        <v>7.99</v>
      </c>
      <c r="I31" s="2" t="n">
        <v>74</v>
      </c>
      <c r="J31" s="2" t="n">
        <v>74</v>
      </c>
    </row>
    <row r="32" customFormat="false" ht="12.8" hidden="false" customHeight="false" outlineLevel="0" collapsed="false">
      <c r="A32" s="0" t="s">
        <v>40</v>
      </c>
      <c r="B32" s="2" t="n">
        <v>288</v>
      </c>
      <c r="C32" s="0" t="str">
        <f aca="false">FIXED(-2537.1551,2)</f>
        <v>-2,537.16</v>
      </c>
      <c r="D32" s="0" t="str">
        <f aca="false">FIXED(C32/B32,3)</f>
        <v>-8.810</v>
      </c>
      <c r="E32" s="0" t="str">
        <f aca="false">FIXED(D32-$D$42,3)</f>
        <v>0.480</v>
      </c>
      <c r="F32" s="0" t="str">
        <f aca="false">FIXED(-1,2)</f>
        <v>-1.00</v>
      </c>
      <c r="G32" s="3" t="n">
        <f aca="false">3.09+0.6</f>
        <v>3.69</v>
      </c>
      <c r="H32" s="2" t="n">
        <f aca="false">7.16+0.6</f>
        <v>7.76</v>
      </c>
      <c r="I32" s="2" t="n">
        <v>129</v>
      </c>
      <c r="J32" s="2" t="n">
        <v>129</v>
      </c>
    </row>
    <row r="33" customFormat="false" ht="12.8" hidden="false" customHeight="false" outlineLevel="0" collapsed="false">
      <c r="A33" s="0" t="s">
        <v>41</v>
      </c>
      <c r="B33" s="2" t="n">
        <v>204</v>
      </c>
      <c r="C33" s="0" t="str">
        <f aca="false">FIXED(-1779.85645453,2)</f>
        <v>-1,779.86</v>
      </c>
      <c r="D33" s="0" t="str">
        <f aca="false">FIXED(C33/B33,3)</f>
        <v>-8.725</v>
      </c>
      <c r="E33" s="0" t="str">
        <f aca="false">FIXED(D33-$D$42,3)</f>
        <v>0.565</v>
      </c>
      <c r="F33" s="0" t="str">
        <f aca="false">FIXED(2.757395,2)</f>
        <v>2.76</v>
      </c>
      <c r="G33" s="3" t="n">
        <f aca="false">4.3+0.6</f>
        <v>4.9</v>
      </c>
      <c r="H33" s="2" t="n">
        <f aca="false">8.12+0.6</f>
        <v>8.72</v>
      </c>
      <c r="I33" s="2" t="n">
        <v>47</v>
      </c>
      <c r="J33" s="2" t="n">
        <v>47</v>
      </c>
    </row>
    <row r="34" customFormat="false" ht="12.8" hidden="false" customHeight="false" outlineLevel="0" collapsed="false">
      <c r="A34" s="0" t="s">
        <v>42</v>
      </c>
      <c r="B34" s="2" t="n">
        <v>132</v>
      </c>
      <c r="C34" s="0" t="str">
        <f aca="false">FIXED(-1148.18041958,2)</f>
        <v>-1,148.18</v>
      </c>
      <c r="D34" s="0" t="str">
        <f aca="false">FIXED(C34/B34,3)</f>
        <v>-8.698</v>
      </c>
      <c r="E34" s="0" t="str">
        <f aca="false">FIXED(D34-$D$42,3)</f>
        <v>0.592</v>
      </c>
      <c r="F34" s="0" t="str">
        <f aca="false">FIXED(-1,2)</f>
        <v>-1.00</v>
      </c>
      <c r="G34" s="3" t="n">
        <f aca="false">2.98+0.6</f>
        <v>3.58</v>
      </c>
      <c r="H34" s="2" t="n">
        <f aca="false">6.67+0.6</f>
        <v>7.27</v>
      </c>
      <c r="I34" s="2" t="n">
        <v>63</v>
      </c>
      <c r="J34" s="2" t="n">
        <v>63</v>
      </c>
    </row>
    <row r="35" customFormat="false" ht="12.8" hidden="false" customHeight="false" outlineLevel="0" collapsed="false">
      <c r="A35" s="0" t="s">
        <v>43</v>
      </c>
      <c r="B35" s="2" t="n">
        <v>144</v>
      </c>
      <c r="C35" s="0" t="str">
        <f aca="false">FIXED(-1241.65154685,2)</f>
        <v>-1,241.65</v>
      </c>
      <c r="D35" s="0" t="str">
        <f aca="false">FIXED(C35/B35,3)</f>
        <v>-8.623</v>
      </c>
      <c r="E35" s="0" t="str">
        <f aca="false">FIXED(D35-$D$42,3)</f>
        <v>0.667</v>
      </c>
      <c r="F35" s="0" t="str">
        <f aca="false">FIXED(3.274,2)</f>
        <v>3.27</v>
      </c>
      <c r="G35" s="3" t="n">
        <f aca="false">2.75+0.6</f>
        <v>3.35</v>
      </c>
      <c r="H35" s="2" t="n">
        <f aca="false">7.1+0.6</f>
        <v>7.7</v>
      </c>
      <c r="I35" s="2" t="n">
        <v>194</v>
      </c>
      <c r="J35" s="2" t="n">
        <v>194</v>
      </c>
    </row>
    <row r="36" customFormat="false" ht="12.8" hidden="false" customHeight="false" outlineLevel="0" collapsed="false">
      <c r="A36" s="0" t="s">
        <v>44</v>
      </c>
      <c r="B36" s="2" t="n">
        <v>168</v>
      </c>
      <c r="C36" s="0" t="str">
        <f aca="false">FIXED(-1527.07638426,2)</f>
        <v>-1,527.08</v>
      </c>
      <c r="D36" s="0" t="str">
        <f aca="false">FIXED(C36/B36,3)</f>
        <v>-9.090</v>
      </c>
      <c r="E36" s="0" t="str">
        <f aca="false">FIXED(D36-$D$42,3)</f>
        <v>0.200</v>
      </c>
      <c r="F36" s="0" t="str">
        <f aca="false">FIXED(2.90439,2)</f>
        <v>2.90</v>
      </c>
      <c r="G36" s="3" t="n">
        <f aca="false">5.65+0.6</f>
        <v>6.25</v>
      </c>
      <c r="H36" s="2" t="n">
        <f aca="false">10.95+0.6</f>
        <v>11.55</v>
      </c>
      <c r="I36" s="2" t="n">
        <v>164</v>
      </c>
      <c r="J36" s="2" t="n">
        <v>187</v>
      </c>
    </row>
    <row r="37" customFormat="false" ht="12.8" hidden="false" customHeight="false" outlineLevel="0" collapsed="false">
      <c r="A37" s="0" t="s">
        <v>45</v>
      </c>
      <c r="B37" s="2" t="n">
        <v>150</v>
      </c>
      <c r="C37" s="0" t="str">
        <f aca="false">FIXED(-1368.41641983,2)</f>
        <v>-1,368.42</v>
      </c>
      <c r="D37" s="0" t="str">
        <f aca="false">FIXED(C37/B37,3)</f>
        <v>-9.123</v>
      </c>
      <c r="E37" s="0" t="str">
        <f aca="false">FIXED(D37-$D$42,3)</f>
        <v>0.167</v>
      </c>
      <c r="F37" s="0" t="str">
        <f aca="false">FIXED(4.52137,2)</f>
        <v>4.52</v>
      </c>
      <c r="G37" s="3" t="n">
        <f aca="false">5.87+0.6</f>
        <v>6.47</v>
      </c>
      <c r="H37" s="2" t="n">
        <f aca="false">10.01+0.6</f>
        <v>10.61</v>
      </c>
      <c r="I37" s="2" t="n">
        <v>187</v>
      </c>
      <c r="J37" s="2" t="n">
        <v>187</v>
      </c>
    </row>
    <row r="38" customFormat="false" ht="12.8" hidden="false" customHeight="false" outlineLevel="0" collapsed="false">
      <c r="A38" s="0" t="s">
        <v>46</v>
      </c>
      <c r="B38" s="2" t="n">
        <v>282</v>
      </c>
      <c r="C38" s="0" t="str">
        <f aca="false">FIXED(-2565.32435296,2)</f>
        <v>-2,565.32</v>
      </c>
      <c r="D38" s="0" t="str">
        <f aca="false">FIXED(C38/B38,3)</f>
        <v>-9.097</v>
      </c>
      <c r="E38" s="0" t="str">
        <f aca="false">FIXED(D38-$D$42,3)</f>
        <v>0.193</v>
      </c>
      <c r="F38" s="0" t="str">
        <f aca="false">FIXED(4.58838,2)</f>
        <v>4.59</v>
      </c>
      <c r="G38" s="3" t="n">
        <f aca="false">5.64+0.6</f>
        <v>6.24</v>
      </c>
      <c r="H38" s="2" t="n">
        <f aca="false">9.78+0.6</f>
        <v>10.38</v>
      </c>
      <c r="I38" s="2" t="n">
        <v>187</v>
      </c>
      <c r="J38" s="2" t="n">
        <v>187</v>
      </c>
    </row>
    <row r="39" customFormat="false" ht="12.8" hidden="false" customHeight="false" outlineLevel="0" collapsed="false">
      <c r="A39" s="0" t="s">
        <v>47</v>
      </c>
      <c r="B39" s="2" t="n">
        <v>144</v>
      </c>
      <c r="C39" s="0" t="str">
        <f aca="false">FIXED(-1308.08001894,2)</f>
        <v>-1,308.08</v>
      </c>
      <c r="D39" s="0" t="str">
        <f aca="false">FIXED(C39/B39,3)</f>
        <v>-9.084</v>
      </c>
      <c r="E39" s="0" t="str">
        <f aca="false">FIXED(D39-$D$42,3)</f>
        <v>0.206</v>
      </c>
      <c r="F39" s="0" t="str">
        <f aca="false">FIXED(3.254759,2)</f>
        <v>3.25</v>
      </c>
      <c r="G39" s="3" t="n">
        <f aca="false">5.65+0.6</f>
        <v>6.25</v>
      </c>
      <c r="H39" s="2" t="n">
        <f aca="false">10.91+0.6</f>
        <v>11.51</v>
      </c>
      <c r="I39" s="2" t="n">
        <v>191</v>
      </c>
      <c r="J39" s="2" t="n">
        <v>187</v>
      </c>
    </row>
    <row r="40" customFormat="false" ht="12.8" hidden="false" customHeight="false" outlineLevel="0" collapsed="false">
      <c r="A40" s="0" t="s">
        <v>48</v>
      </c>
      <c r="B40" s="2" t="n">
        <v>216</v>
      </c>
      <c r="C40" s="0" t="str">
        <f aca="false">FIXED(-1933.81300546,2)</f>
        <v>-1,933.81</v>
      </c>
      <c r="D40" s="0" t="str">
        <f aca="false">FIXED(C40/B40,3)</f>
        <v>-8.953</v>
      </c>
      <c r="E40" s="0" t="str">
        <f aca="false">FIXED(D40-$D$42,3)</f>
        <v>0.337</v>
      </c>
      <c r="F40" s="0" t="str">
        <f aca="false">FIXED(-1,2)</f>
        <v>-1.00</v>
      </c>
      <c r="G40" s="3" t="n">
        <f aca="false">5.22+0.6</f>
        <v>5.82</v>
      </c>
      <c r="H40" s="2" t="n">
        <f aca="false">6.59+0.6</f>
        <v>7.19</v>
      </c>
      <c r="I40" s="2" t="n">
        <v>214</v>
      </c>
      <c r="J40" s="2" t="n">
        <v>214</v>
      </c>
    </row>
    <row r="41" customFormat="false" ht="12.8" hidden="false" customHeight="false" outlineLevel="0" collapsed="false">
      <c r="A41" s="7" t="s">
        <v>49</v>
      </c>
      <c r="B41" s="7"/>
      <c r="C41" s="7"/>
      <c r="D41" s="7"/>
      <c r="E41" s="7"/>
      <c r="F41" s="7"/>
      <c r="G41" s="7"/>
      <c r="H41" s="7"/>
      <c r="I41" s="7"/>
    </row>
    <row r="42" customFormat="false" ht="12.8" hidden="false" customHeight="false" outlineLevel="0" collapsed="false">
      <c r="A42" s="0" t="s">
        <v>50</v>
      </c>
      <c r="B42" s="2" t="n">
        <v>2</v>
      </c>
      <c r="C42" s="0" t="str">
        <f aca="false">FIXED(-18.58146873,2)</f>
        <v>-18.58</v>
      </c>
      <c r="D42" s="0" t="str">
        <f aca="false">FIXED(C42/B42,3)</f>
        <v>-9.290</v>
      </c>
      <c r="E42" s="0" t="str">
        <f aca="false">FIXED(D42-$D$42,3)</f>
        <v>0.000</v>
      </c>
    </row>
    <row r="43" customFormat="false" ht="12.8" hidden="false" customHeight="false" outlineLevel="0" collapsed="false">
      <c r="A43" s="0" t="s">
        <v>51</v>
      </c>
      <c r="B43" s="2" t="n">
        <v>60</v>
      </c>
      <c r="C43" s="4" t="str">
        <f aca="false">FIXED(-536.29621,2)</f>
        <v>-536.30</v>
      </c>
      <c r="D43" s="0" t="str">
        <f aca="false">FIXED(C43/B43,3)</f>
        <v>-8.938</v>
      </c>
      <c r="E43" s="0" t="str">
        <f aca="false">FIXED(D43-$D$42,3)</f>
        <v>0.352</v>
      </c>
      <c r="F43" s="2" t="n">
        <v>3.56</v>
      </c>
    </row>
    <row r="44" customFormat="false" ht="12.8" hidden="false" customHeight="false" outlineLevel="0" collapsed="false">
      <c r="A44" s="0" t="s">
        <v>52</v>
      </c>
      <c r="B44" s="2" t="n">
        <v>12</v>
      </c>
      <c r="C44" s="8" t="str">
        <f aca="false">FIXED(-106.22,2)</f>
        <v>-106.22</v>
      </c>
      <c r="D44" s="0" t="str">
        <f aca="false">FIXED(C44/B44,3)</f>
        <v>-8.852</v>
      </c>
      <c r="E44" s="0" t="str">
        <f aca="false">FIXED(D44-$D$42,3)</f>
        <v>0.438</v>
      </c>
      <c r="F44" s="0" t="str">
        <f aca="false">FIXED(2.07199576017381,2)</f>
        <v>2.07</v>
      </c>
    </row>
    <row r="45" customFormat="false" ht="12.8" hidden="false" customHeight="false" outlineLevel="0" collapsed="false">
      <c r="A45" s="0" t="s">
        <v>53</v>
      </c>
      <c r="B45" s="2" t="n">
        <v>16</v>
      </c>
      <c r="C45" s="8" t="str">
        <f aca="false">FIXED(-145.97,2)</f>
        <v>-145.97</v>
      </c>
      <c r="D45" s="0" t="str">
        <f aca="false">FIXED(C45/B45,3)</f>
        <v>-9.123</v>
      </c>
      <c r="E45" s="0" t="str">
        <f aca="false">FIXED(D45-$D$42,3)</f>
        <v>0.167</v>
      </c>
      <c r="F45" s="0" t="str">
        <f aca="false">FIXED(2.7656569082572,3)</f>
        <v>2.766</v>
      </c>
    </row>
    <row r="46" customFormat="false" ht="12.8" hidden="false" customHeight="false" outlineLevel="0" collapsed="false">
      <c r="A46" s="0" t="s">
        <v>54</v>
      </c>
      <c r="B46" s="2" t="n">
        <v>20</v>
      </c>
      <c r="C46" s="8" t="str">
        <f aca="false">FIXED(-183.12,2)</f>
        <v>-183.12</v>
      </c>
      <c r="D46" s="0" t="str">
        <f aca="false">FIXED(C46/B46,3)</f>
        <v>-9.156</v>
      </c>
      <c r="E46" s="0" t="str">
        <f aca="false">FIXED(D46-$D$42,3)</f>
        <v>0.134</v>
      </c>
      <c r="F46" s="0" t="str">
        <f aca="false">FIXED(3.42073444903421,2)</f>
        <v>3.42</v>
      </c>
    </row>
    <row r="47" customFormat="false" ht="12.8" hidden="false" customHeight="false" outlineLevel="0" collapsed="false">
      <c r="A47" s="0" t="s">
        <v>55</v>
      </c>
      <c r="B47" s="2" t="n">
        <v>24</v>
      </c>
      <c r="C47" s="8" t="str">
        <f aca="false">FIXED(-220.96,2)</f>
        <v>-220.96</v>
      </c>
      <c r="D47" s="0" t="str">
        <f aca="false">FIXED(C47/B47,3)</f>
        <v>-9.207</v>
      </c>
      <c r="E47" s="0" t="str">
        <f aca="false">FIXED(D47-$D$42,3)</f>
        <v>0.083</v>
      </c>
      <c r="F47" s="0" t="str">
        <f aca="false">FIXED(4.11083381712429,2)</f>
        <v>4.11</v>
      </c>
    </row>
    <row r="48" customFormat="false" ht="12.8" hidden="false" customHeight="false" outlineLevel="0" collapsed="false">
      <c r="A48" s="0" t="s">
        <v>56</v>
      </c>
      <c r="B48" s="2" t="n">
        <v>28</v>
      </c>
      <c r="C48" s="8" t="str">
        <f aca="false">FIXED(-258.63,2)</f>
        <v>-258.63</v>
      </c>
      <c r="D48" s="0" t="str">
        <f aca="false">FIXED(C48/B48,3)</f>
        <v>-9.237</v>
      </c>
      <c r="E48" s="0" t="str">
        <f aca="false">FIXED(D48-$D$42,3)</f>
        <v>0.053</v>
      </c>
      <c r="F48" s="0" t="str">
        <f aca="false">FIXED(4.77244760738617,2)</f>
        <v>4.77</v>
      </c>
    </row>
    <row r="49" customFormat="false" ht="12.8" hidden="false" customHeight="false" outlineLevel="0" collapsed="false">
      <c r="A49" s="0" t="s">
        <v>57</v>
      </c>
      <c r="B49" s="2" t="n">
        <v>32</v>
      </c>
      <c r="C49" s="8" t="str">
        <f aca="false">FIXED(-296.06,2)</f>
        <v>-296.06</v>
      </c>
      <c r="D49" s="0" t="str">
        <f aca="false">FIXED(C49/B49,3)</f>
        <v>-9.252</v>
      </c>
      <c r="E49" s="0" t="str">
        <f aca="false">FIXED(D49-$D$42,3)</f>
        <v>0.038</v>
      </c>
      <c r="F49" s="0" t="str">
        <f aca="false">FIXED(5.46497441395552,2)</f>
        <v>5.46</v>
      </c>
    </row>
    <row r="50" customFormat="false" ht="12.8" hidden="false" customHeight="false" outlineLevel="0" collapsed="false">
      <c r="A50" s="0" t="s">
        <v>58</v>
      </c>
      <c r="B50" s="2" t="n">
        <v>76</v>
      </c>
      <c r="C50" s="8" t="str">
        <f aca="false">FIXED(-692.51,2)</f>
        <v>-692.51</v>
      </c>
      <c r="D50" s="0" t="str">
        <f aca="false">FIXED(C50/B50,3)</f>
        <v>-9.112</v>
      </c>
      <c r="E50" s="0" t="str">
        <f aca="false">FIXED(D50-$D$42,3)</f>
        <v>0.178</v>
      </c>
      <c r="F50" s="0" t="str">
        <f aca="false">FIXED(3.011479,2)</f>
        <v>3.01</v>
      </c>
    </row>
  </sheetData>
  <mergeCells count="1">
    <mergeCell ref="A41:I4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1642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2022-07-04T10:38:51Z</dcterms:created>
  <dc:description/>
  <dc:language>en-US</dc:language>
  <dcterms:modified xsi:type="dcterms:W3CDTF">2023-04-19T10:25:26Z</dcterms:modified>
  <cp:revision>9</cp:revision>
  <dc:subject/>
  <dc:title/>
</cp:coreProperties>
</file>